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Model" sheetId="2" state="visible" r:id="rId4"/>
    <sheet name="Decision" sheetId="3" state="visible" r:id="rId5"/>
    <sheet name="Sensitivity" sheetId="4" state="visible" r:id="rId6"/>
    <sheet name="Notes" sheetId="5" state="visible" r:id="rId7"/>
  </sheet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<sst xmlns="http://schemas.openxmlformats.org/spreadsheetml/2006/main" count="152" uniqueCount="142">
  <si>
    <t xml:space="preserve">Build vs. Buy — 200K-seat enterprise, AI era</t>
  </si>
  <si>
    <t xml:space="preserve">Blue text on yellow = edit these. Everything else is a formula. Units are per YEAR unless the label says otherwise.</t>
  </si>
  <si>
    <t xml:space="preserve">SCALE</t>
  </si>
  <si>
    <t xml:space="preserve">Seats</t>
  </si>
  <si>
    <t xml:space="preserve">Total licensed/served users.</t>
  </si>
  <si>
    <t xml:space="preserve">BUY SIDE</t>
  </si>
  <si>
    <t xml:space="preserve">License cost ($/seat/year)</t>
  </si>
  <si>
    <t xml:space="preserve">Steady-state per-seat price. Many enterprise tools are quoted per month — multiply by 12 before entering.</t>
  </si>
  <si>
    <t xml:space="preserve">Admin / integration team (headcount)</t>
  </si>
  <si>
    <t xml:space="preserve">You still need people when you buy. SSO, provisioning, integrations, vendor mgmt, tier-3 support.</t>
  </si>
  <si>
    <t xml:space="preserve">Customization &amp; integration tax ($/year)</t>
  </si>
  <si>
    <t xml:space="preserve">Consulting, connectors, workarounds for what the vendor won't build.</t>
  </si>
  <si>
    <t xml:space="preserve">Vendor price escalation (%/year)</t>
  </si>
  <si>
    <t xml:space="preserve">Typical renewal uplift.</t>
  </si>
  <si>
    <t xml:space="preserve">BUILD SIDE</t>
  </si>
  <si>
    <t xml:space="preserve">Build team (headcount, pre-AI baseline)</t>
  </si>
  <si>
    <t xml:space="preserve">Engineers + PM + design + SRE to build AND keep running a product at this scale.</t>
  </si>
  <si>
    <t xml:space="preserve">AI construction productivity gain (%)</t>
  </si>
  <si>
    <t xml:space="preserve">Share of headcount AI-assisted development removes. Applies to the build team, NOT to the four hidden costs below.</t>
  </si>
  <si>
    <t xml:space="preserve">Loaded cost per FTE ($/year)</t>
  </si>
  <si>
    <t xml:space="preserve">Salary + benefits + tooling + overhead.</t>
  </si>
  <si>
    <t xml:space="preserve">Infrastructure, fixed ($/year)</t>
  </si>
  <si>
    <t xml:space="preserve">Hosting, observability, CI/CD, security tooling.</t>
  </si>
  <si>
    <t xml:space="preserve">Infrastructure, variable ($/seat/year)</t>
  </si>
  <si>
    <t xml:space="preserve">Compute/storage that scales with users.</t>
  </si>
  <si>
    <t xml:space="preserve">Build risk premium (% of team cost)</t>
  </si>
  <si>
    <t xml:space="preserve">Key-person loss, security/compliance ownership, orphaned-code risk. The bill for owning a product.</t>
  </si>
  <si>
    <t xml:space="preserve">Time to value (months)</t>
  </si>
  <si>
    <t xml:space="preserve">Months of paying the build team before it replaces anything. You pay for the incumbent solution during this window.</t>
  </si>
  <si>
    <t xml:space="preserve">Wage inflation (%/year)</t>
  </si>
  <si>
    <t xml:space="preserve">ANALYSIS</t>
  </si>
  <si>
    <t xml:space="preserve">Horizon (years)</t>
  </si>
  <si>
    <t xml:space="preserve">TCO period. Max 10 in this model.</t>
  </si>
  <si>
    <t xml:space="preserve">Build threshold: team cost per seat ÷ license (max)</t>
  </si>
  <si>
    <t xml:space="preserve">Rule of thumb: build only if the team costs under this share of the license. The remainder pays for the hidden costs.</t>
  </si>
  <si>
    <t xml:space="preserve">AI ADD-ON SCENARIO</t>
  </si>
  <si>
    <t xml:space="preserve">Vendor AI add-on price ($/seat/MONTH)</t>
  </si>
  <si>
    <t xml:space="preserve">The per-seat AI upsell on a platform you already own.</t>
  </si>
  <si>
    <t xml:space="preserve">AI layer build team (headcount)</t>
  </si>
  <si>
    <t xml:space="preserve">Small team wrapping models around your own data on top of the platform you bought.</t>
  </si>
  <si>
    <t xml:space="preserve">QUALITATIVE GATES (Y/N)</t>
  </si>
  <si>
    <t xml:space="preserve">Is the capability differentiating (not commodity)?</t>
  </si>
  <si>
    <t xml:space="preserve">N</t>
  </si>
  <si>
    <t xml:space="preserve">If a competitor buying the same tool gets the same outcome, it's commodity.</t>
  </si>
  <si>
    <t xml:space="preserve">Would you fund this team for 5+ years?</t>
  </si>
  <si>
    <t xml:space="preserve">If the answer is 'we'll see', the answer is no.</t>
  </si>
  <si>
    <t xml:space="preserve">Steady-state annual cost &amp; break-even</t>
  </si>
  <si>
    <t xml:space="preserve">All cells here are formulas driven by Inputs. Green = pulled from Inputs.</t>
  </si>
  <si>
    <t xml:space="preserve">Line item</t>
  </si>
  <si>
    <t xml:space="preserve">Buy</t>
  </si>
  <si>
    <t xml:space="preserve">Build (pre-AI)</t>
  </si>
  <si>
    <t xml:space="preserve">Build (AI-assisted)</t>
  </si>
  <si>
    <t xml:space="preserve">License ($/yr)</t>
  </si>
  <si>
    <t xml:space="preserve">Buy: seats × license. Build: zero — you are the vendor now.</t>
  </si>
  <si>
    <t xml:space="preserve">Team headcount</t>
  </si>
  <si>
    <t xml:space="preserve">AI-assisted headcount = baseline × (1 − productivity gain).</t>
  </si>
  <si>
    <t xml:space="preserve">Team cost ($/yr)</t>
  </si>
  <si>
    <t xml:space="preserve">Risk premium ($/yr)</t>
  </si>
  <si>
    <t xml:space="preserve">Risk premium is the price of owning security, compliance, on-call and the code nobody fully understands.</t>
  </si>
  <si>
    <t xml:space="preserve">Customization / integration tax ($/yr)</t>
  </si>
  <si>
    <t xml:space="preserve">Infrastructure ($/yr)</t>
  </si>
  <si>
    <t xml:space="preserve">TOTAL annual cost ($/yr)</t>
  </si>
  <si>
    <t xml:space="preserve">Cost per seat ($/seat/yr)</t>
  </si>
  <si>
    <t xml:space="preserve">Break-even &amp; rule of thumb</t>
  </si>
  <si>
    <t xml:space="preserve">Metric</t>
  </si>
  <si>
    <t xml:space="preserve">Break-even seats (build cheaper above this)</t>
  </si>
  <si>
    <t xml:space="preserve">Fixed build costs (team + risk + fixed infra) minus the team and tax you'd pay anyway when buying, divided by the per-seat price gap.</t>
  </si>
  <si>
    <t xml:space="preserve">Your seats vs. break-even</t>
  </si>
  <si>
    <t xml:space="preserve">Build team cost per seat ($/seat/yr)</t>
  </si>
  <si>
    <t xml:space="preserve">Team cost per seat ÷ license</t>
  </si>
  <si>
    <t xml:space="preserve">Passes threshold?</t>
  </si>
  <si>
    <t xml:space="preserve">Annual saving from building ($/yr, + = build saves)</t>
  </si>
  <si>
    <t xml:space="preserve">Multi-year TCO (includes time-to-value overlap)</t>
  </si>
  <si>
    <t xml:space="preserve">During the build window you pay the build team AND the bought solution you're replacing. That overlap is the burn most build cases forget.</t>
  </si>
  <si>
    <t xml:space="preserve">Year</t>
  </si>
  <si>
    <t xml:space="preserve">Overlap months (build still paying for incumbent)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</si>
  <si>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</si>
  <si>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</si>
  <si>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</si>
  <si>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</si>
  <si>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</si>
  <si>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</si>
  <si>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</si>
  <si>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</si>
  <si>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</si>
  <si>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</si>
  <si>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TOTAL over horizon</t>
  </si>
  <si>
    <t xml:space="preserve">Build saving vs. buy over horizon (+ = build saves)</t>
  </si>
  <si>
    <t xml:space="preserve">Payback year (first year cumulative build ≤ cumulative buy)</t>
  </si>
  <si>
    <t xml:space="preserve">AI add-on scenario: buy the platform, build the AI layer?</t>
  </si>
  <si>
    <t xml:space="preserve">Buy add-on</t>
  </si>
  <si>
    <t xml:space="preserve">Build AI layer</t>
  </si>
  <si>
    <t xml:space="preserve">Vendor AI add-on ($/yr)</t>
  </si>
  <si>
    <t xml:space="preserve">Price is entered per month on Inputs; ×12 here.</t>
  </si>
  <si>
    <t xml:space="preserve">AI layer team cost ($/yr)</t>
  </si>
  <si>
    <t xml:space="preserve">Infrastructure, fixed ($/yr)</t>
  </si>
  <si>
    <t xml:space="preserve">TOTAL ($/yr)</t>
  </si>
  <si>
    <t xml:space="preserve">Saving from building the AI layer ($/yr)</t>
  </si>
  <si>
    <t xml:space="preserve">Equivalent headcount the add-on price would fund</t>
  </si>
  <si>
    <t xml:space="preserve">How large an org the vendor's AI upsell would pay for. This is where the 'age of AI' actually bites.</t>
  </si>
  <si>
    <t xml:space="preserve">Decision rule</t>
  </si>
  <si>
    <t xml:space="preserve">Build only if EVERY gate passes. One 'No' and you buy the platform. Evaluated on the AI-assisted build case.</t>
  </si>
  <si>
    <t xml:space="preserve">Gate</t>
  </si>
  <si>
    <t xml:space="preserve">Result</t>
  </si>
  <si>
    <t xml:space="preserve">Why it matters</t>
  </si>
  <si>
    <t xml:space="preserve">1. Seats above break-even (build cheaper on paper)</t>
  </si>
  <si>
    <t xml:space="preserve">If the arithmetic doesn't work, nothing else matters.</t>
  </si>
  <si>
    <t xml:space="preserve">2. Team cost per seat under threshold share of license</t>
  </si>
  <si>
    <t xml:space="preserve">The gap funds time-to-value, maintenance, roadmap treadmill and key-person risk.</t>
  </si>
  <si>
    <t xml:space="preserve">3. Pays back within horizon (incl. overlap burn)</t>
  </si>
  <si>
    <t xml:space="preserve">A build that pays back in year 7 of a 5-year plan is a donation to the next VP.</t>
  </si>
  <si>
    <t xml:space="preserve">4. Capability is differentiating, not commodity</t>
  </si>
  <si>
    <t xml:space="preserve">Vendors amortize across millions of seats. You amortize across yours. Only worth it where their roadmap isn't yours.</t>
  </si>
  <si>
    <t xml:space="preserve">5. Team funded for 5+ years</t>
  </si>
  <si>
    <t xml:space="preserve">Two resignations from a 15-person team and you own an orphan.</t>
  </si>
  <si>
    <t xml:space="preserve">VERDICT</t>
  </si>
  <si>
    <t xml:space="preserve">Gates passed</t>
  </si>
  <si>
    <t xml:space="preserve">AI layer verdict (on top of the platform you bought)</t>
  </si>
  <si>
    <t xml:space="preserve">AI didn't move the buy line. It moved the 'what's worth building' line to the thin layer the vendor charges rent for.</t>
  </si>
  <si>
    <t xml:space="preserve">Annual cost vs. seat count (at current inputs)</t>
  </si>
  <si>
    <t xml:space="preserve">Break-even seats vs. license price</t>
  </si>
  <si>
    <t xml:space="preserve">Buy ($/yr)</t>
  </si>
  <si>
    <t xml:space="preserve">Build pre-AI ($/yr)</t>
  </si>
  <si>
    <t xml:space="preserve">Build AI-assisted ($/yr)</t>
  </si>
  <si>
    <t xml:space="preserve">License ($/seat/yr)</t>
  </si>
  <si>
    <t xml:space="preserve">Break-even pre-AI</t>
  </si>
  <si>
    <t xml:space="preserve">Break-even AI-assisted</t>
  </si>
  <si>
    <t xml:space="preserve">Seat grid is editable (blue).</t>
  </si>
  <si>
    <t xml:space="preserve">Negative break-even = build is cheaper at any seat count (the buy-side team and tax alone exceed the build).</t>
  </si>
  <si>
    <t xml:space="preserve">How to use</t>
  </si>
  <si>
    <t xml:space="preserve">1. Edit the yellow cells on Inputs. 2. Read the Decision tab. 3. Argue with the Sensitivity tab.</t>
  </si>
  <si>
    <t xml:space="preserve">The model in one line</t>
  </si>
  <si>
    <t xml:space="preserve">Build only when loaded team cost per seat is well under license cost per seat AND the capability is differentiating AND you'd fund the team for 5+ years AND it pays back inside the horizon after counting the months you pay for both.</t>
  </si>
  <si>
    <t xml:space="preserve">What 'the age of AI' changes</t>
  </si>
  <si>
    <t xml:space="preserve">AI-assisted development cuts construction headcount (the productivity-gain input). It does NOT cut the hidden costs: time to value, maintenance (60–80% of lifetime cost), the vendor roadmap treadmill, or key-person risk. So the break-even seat count drops, but the qualitative gates get harder, not easier — a codebase eight people generated in six months is a codebase nobody fully understands by year three.</t>
  </si>
  <si>
    <t xml:space="preserve">The bigger shift is on the buy side: vendor AI add-ons priced per seat per month turn into eight-figure annual bills at 200K seats. That money funds a real team. Buy the platform, build the thin AI layer on top of your own data.</t>
  </si>
  <si>
    <t xml:space="preserve">Assumptions &amp; sources</t>
  </si>
  <si>
    <t xml:space="preserve">All default values are illustrative placeholders supplied by the author for a 200,000-seat enterprise; none are vendor quotes. Loaded FTE cost, license price and headcounts should be replaced with your own numbers before drawing any conclusion.</t>
  </si>
  <si>
    <t xml:space="preserve">Break-even formula: (build team cost + risk premium + fixed infra − buy-side admin cost − customization tax) ÷ (license per seat − variable infra per seat).</t>
  </si>
  <si>
    <t xml:space="preserve">Time-to-value overlap: for the first N months you pay the build team plus the bought solution it will replace. Modeled year by year on the Model tab.</t>
  </si>
  <si>
    <t xml:space="preserve">Colour legend</t>
  </si>
  <si>
    <t xml:space="preserve">Blue on yellow = input you edit · Black = formula · Green = pulled from Inputs.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</si>
</sst>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\$#,##0;&quot;($&quot;#,##0\);\-"/>
    <numFmt numFmtId="167" formatCode="0.0%"/>
    <numFmt numFmtId="168" formatCode="\$#,##0.00;&quot;($&quot;#,##0.00\);\-"/>
    <numFmt numFmtId="169" formatCode="#,##0.0;\(#,##0.0\)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/>
      <sz val="10"/>
      <color rgb="FF000000"/>
      <name val="Arial"/>
      <family val="0"/>
      <charset val="1"/>
    </font>
    <font>
      <i/>
      <sz val="10"/>
      <color rgb="FF000000"/>
      <name val="Arial"/>
      <family val="0"/>
      <charset val="1"/>
    </font>
    <font>
      <i/>
      <sz val="10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NumberFormat="1" applyFont="1" applyAlignment="1">
      <alignment horizontal="general" vertical="top" textRotation="0" indent="0" shrinkToFit="false"/>
    </xf>
    <xf numFmtId="164" fontId="7" fillId="0" borderId="0" xfId="0" applyNumberFormat="1" applyFont="1" applyAlignment="1">
      <alignment horizontal="general" vertical="top" textRotation="0" indent="0" shrinkToFit="false"/>
    </xf>
    <xf numFmtId="164" fontId="16" fillId="0" borderId="0" xfId="0" applyNumberFormat="1" applyFont="1" applyAlignment="1">
      <alignment horizontal="general" vertical="bottom" textRotation="0" indent="0" shrinkToFit="false"/>
    </xf>
    <xf numFmtId="167" fontId="8" fillId="3" borderId="1" xfId="0" applyNumberFormat="1" applyFont="1" applyFill="1" applyBorder="1" applyAlignment="1">
      <alignment horizontal="right" vertical="bottom" textRotation="0" indent="0" shrinkToFit="false"/>
    </xf>
    <xf numFmtId="164" fontId="17" fillId="0" borderId="0" xfId="0" applyNumberFormat="1" applyFont="1" applyAlignment="1">
      <alignment horizontal="general" vertical="bottom" textRotation="0" indent="0" shrinkToFit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8B855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Annual cost vs. seats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Sensitivity!B3</c:f>
              <c:strCache>
                <c:ptCount val="1"/>
                <c:pt idx="0">
                  <c:v>Buy ($/yr)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Sensitivity!$A$4:$A$10</c:f>
              <c:strCache>
                <c:ptCount val="7"/>
                <c:pt idx="0">
                  <c:v>25,000</c:v>
                </c:pt>
                <c:pt idx="1">
                  <c:v>50,000</c:v>
                </c:pt>
                <c:pt idx="2">
                  <c:v>100,000</c:v>
                </c:pt>
                <c:pt idx="3">
                  <c:v>200,000</c:v>
                </c:pt>
                <c:pt idx="4">
                  <c:v>400,000</c:v>
                </c:pt>
                <c:pt idx="5">
                  <c:v>800,000</c:v>
                </c:pt>
                <c:pt idx="6">
                  <c:v>1,600,000</c:v>
                </c:pt>
              </c:strCache>
            </c:strRef>
          </c:cat>
          <c:val>
            <c:numRef>
              <c:f>Sensitivity!$B$4:$B$10</c:f>
              <c:numCache>
                <c:formatCode>\$#,##0;"($"#,##0\);\-</c:formatCode>
                <c:ptCount val="7"/>
                <c:pt idx="0">
                  <c:v>2500000</c:v>
                </c:pt>
                <c:pt idx="1">
                  <c:v>3000000</c:v>
                </c:pt>
                <c:pt idx="2">
                  <c:v>4000000</c:v>
                </c:pt>
                <c:pt idx="3">
                  <c:v>6000000</c:v>
                </c:pt>
                <c:pt idx="4">
                  <c:v>10000000</c:v>
                </c:pt>
                <c:pt idx="5">
                  <c:v>18000000</c:v>
                </c:pt>
                <c:pt idx="6">
                  <c:v>34000000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Sensitivity!C3</c:f>
              <c:strCache>
                <c:ptCount val="1"/>
                <c:pt idx="0">
                  <c:v>Build pre-AI ($/yr)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Sensitivity!$A$4:$A$10</c:f>
              <c:strCache>
                <c:ptCount val="7"/>
                <c:pt idx="0">
                  <c:v>25,000</c:v>
                </c:pt>
                <c:pt idx="1">
                  <c:v>50,000</c:v>
                </c:pt>
                <c:pt idx="2">
                  <c:v>100,000</c:v>
                </c:pt>
                <c:pt idx="3">
                  <c:v>200,000</c:v>
                </c:pt>
                <c:pt idx="4">
                  <c:v>400,000</c:v>
                </c:pt>
                <c:pt idx="5">
                  <c:v>800,000</c:v>
                </c:pt>
                <c:pt idx="6">
                  <c:v>1,600,000</c:v>
                </c:pt>
              </c:strCache>
            </c:strRef>
          </c:cat>
          <c:val>
            <c:numRef>
              <c:f>Sensitivity!$C$4:$C$10</c:f>
              <c:numCache>
                <c:formatCode>\$#,##0;"($"#,##0\);\-</c:formatCode>
                <c:ptCount val="7"/>
                <c:pt idx="0">
                  <c:v>5525000</c:v>
                </c:pt>
                <c:pt idx="1">
                  <c:v>5550000</c:v>
                </c:pt>
                <c:pt idx="2">
                  <c:v>5600000</c:v>
                </c:pt>
                <c:pt idx="3">
                  <c:v>5700000</c:v>
                </c:pt>
                <c:pt idx="4">
                  <c:v>5900000</c:v>
                </c:pt>
                <c:pt idx="5">
                  <c:v>6300000</c:v>
                </c:pt>
                <c:pt idx="6">
                  <c:v>7100000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Sensitivity!D3</c:f>
              <c:strCache>
                <c:ptCount val="1"/>
                <c:pt idx="0">
                  <c:v>Build AI-assisted ($/yr)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Sensitivity!$A$4:$A$10</c:f>
              <c:strCache>
                <c:ptCount val="7"/>
                <c:pt idx="0">
                  <c:v>25,000</c:v>
                </c:pt>
                <c:pt idx="1">
                  <c:v>50,000</c:v>
                </c:pt>
                <c:pt idx="2">
                  <c:v>100,000</c:v>
                </c:pt>
                <c:pt idx="3">
                  <c:v>200,000</c:v>
                </c:pt>
                <c:pt idx="4">
                  <c:v>400,000</c:v>
                </c:pt>
                <c:pt idx="5">
                  <c:v>800,000</c:v>
                </c:pt>
                <c:pt idx="6">
                  <c:v>1,600,000</c:v>
                </c:pt>
              </c:strCache>
            </c:strRef>
          </c:cat>
          <c:val>
            <c:numRef>
              <c:f>Sensitivity!$D$4:$D$10</c:f>
              <c:numCache>
                <c:formatCode>\$#,##0;"($"#,##0\);\-</c:formatCode>
                <c:ptCount val="7"/>
                <c:pt idx="0">
                  <c:v>3500000</c:v>
                </c:pt>
                <c:pt idx="1">
                  <c:v>3525000</c:v>
                </c:pt>
                <c:pt idx="2">
                  <c:v>3575000</c:v>
                </c:pt>
                <c:pt idx="3">
                  <c:v>3675000</c:v>
                </c:pt>
                <c:pt idx="4">
                  <c:v>3875000</c:v>
                </c:pt>
                <c:pt idx="5">
                  <c:v>4275000</c:v>
                </c:pt>
                <c:pt idx="6">
                  <c:v>5075000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796319"/>
        <c:axId val="87784591"/>
      </c:lineChart>
      <c:catAx>
        <c:axId val="379631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Seats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784591"/>
        <c:crosses val="autoZero"/>
        <c:auto val="1"/>
        <c:lblAlgn val="ctr"/>
        <c:lblOffset val="100"/>
        <c:noMultiLvlLbl val="0"/>
      </c:catAx>
      <c:valAx>
        <c:axId val="877845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 / 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9631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114300</xdr:colOff>
      <xdr:row>14</xdr:row>
      <xdr:rowOff>114915</xdr:rowOff>
    </xdr:from>
    <xdr:to>
      <xdr:col>7</xdr:col>
      <xdr:colOff>437040</xdr:colOff>
      <xdr:row>37</xdr:row>
      <xdr:rowOff>30270</xdr:rowOff>
    </xdr:to>
    <xdr:graphicFrame>
      <xdr:nvGraphicFramePr>
        <xdr:cNvPr id="0" name="Chart 1"/>
        <xdr:cNvGraphicFramePr/>
      </xdr:nvGraphicFramePr>
      <xdr:xfrm>
        <a:off x="0" y="26668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collapsed="false" customWidth="true" hidden="false" outlineLevel="0" style="0" width="46"/>
    <col min="2" max="2" collapsed="false" customWidth="true" hidden="false" outlineLevel="0" style="0" width="16"/>
    <col min="3" max="3" collapsed="false" hidden="false" outlineLevel="0" style="0" width="74.75" customWidth="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5" t="s">
        <v>3</v>
      </c>
      <c r="B5" s="6" t="n">
        <v>200000</v>
      </c>
      <c r="C5" s="7" t="s">
        <v>4</v>
      </c>
    </row>
    <row r="6" customFormat="false" ht="15" hidden="false" customHeight="false" outlineLevel="0" collapsed="false">
      <c r="A6" s="3" t="s">
        <v>5</v>
      </c>
      <c r="B6" s="4"/>
      <c r="C6" s="4"/>
    </row>
    <row r="7" customFormat="false" ht="15" hidden="false" customHeight="false" outlineLevel="0" collapsed="false">
      <c r="A7" s="5" t="s">
        <v>6</v>
      </c>
      <c r="B7" s="8" t="n">
        <v>20</v>
      </c>
      <c r="C7" s="7" t="s">
        <v>7</v>
      </c>
    </row>
    <row r="8" customFormat="false" ht="15" hidden="false" customHeight="false" outlineLevel="0" collapsed="false">
      <c r="A8" s="5" t="s">
        <v>8</v>
      </c>
      <c r="B8" s="6" t="n">
        <v>6</v>
      </c>
      <c r="C8" s="7" t="s">
        <v>9</v>
      </c>
    </row>
    <row r="9" customFormat="false" ht="15" hidden="false" customHeight="false" outlineLevel="0" collapsed="false">
      <c r="A9" s="5" t="s">
        <v>10</v>
      </c>
      <c r="B9" s="8" t="n">
        <v>500000</v>
      </c>
      <c r="C9" s="7" t="s">
        <v>11</v>
      </c>
    </row>
    <row r="10" customFormat="false" ht="15" hidden="false" customHeight="false" outlineLevel="0" collapsed="false">
      <c r="A10" s="5" t="s">
        <v>12</v>
      </c>
      <c r="B10" s="35">
        <v>0.02</v>
      </c>
      <c r="C10" s="7" t="s">
        <v>13</v>
      </c>
    </row>
    <row r="11" customFormat="false" ht="15" hidden="false" customHeight="false" outlineLevel="0" collapsed="false">
      <c r="A11" s="3" t="s">
        <v>14</v>
      </c>
      <c r="B11" s="4"/>
      <c r="C11" s="4"/>
    </row>
    <row r="12" customFormat="false" ht="15" hidden="false" customHeight="false" outlineLevel="0" collapsed="false">
      <c r="A12" s="5" t="s">
        <v>15</v>
      </c>
      <c r="B12" s="6" t="n">
        <v>15</v>
      </c>
      <c r="C12" s="7" t="s">
        <v>16</v>
      </c>
    </row>
    <row r="13" customFormat="false" ht="15" hidden="false" customHeight="false" outlineLevel="0" collapsed="false">
      <c r="A13" s="5" t="s">
        <v>17</v>
      </c>
      <c r="B13" s="9" t="n">
        <v>0.45</v>
      </c>
      <c r="C13" s="7" t="s">
        <v>18</v>
      </c>
    </row>
    <row r="14" customFormat="false" ht="15" hidden="false" customHeight="false" outlineLevel="0" collapsed="false">
      <c r="A14" s="5" t="s">
        <v>19</v>
      </c>
      <c r="B14" s="8" t="n">
        <v>250000</v>
      </c>
      <c r="C14" s="7" t="s">
        <v>20</v>
      </c>
    </row>
    <row r="15" customFormat="false" ht="15" hidden="false" customHeight="false" outlineLevel="0" collapsed="false">
      <c r="A15" s="5" t="s">
        <v>21</v>
      </c>
      <c r="B15" s="8" t="n">
        <v>1000000</v>
      </c>
      <c r="C15" s="7" t="s">
        <v>22</v>
      </c>
    </row>
    <row r="16" customFormat="false" ht="15" hidden="false" customHeight="false" outlineLevel="0" collapsed="false">
      <c r="A16" s="5" t="s">
        <v>23</v>
      </c>
      <c r="B16" s="10" t="n">
        <v>1</v>
      </c>
      <c r="C16" s="7" t="s">
        <v>24</v>
      </c>
    </row>
    <row r="17" customFormat="false" ht="15" hidden="false" customHeight="false" outlineLevel="0" collapsed="false">
      <c r="A17" s="5" t="s">
        <v>25</v>
      </c>
      <c r="B17" s="9" t="n">
        <v>0.2</v>
      </c>
      <c r="C17" s="7" t="s">
        <v>26</v>
      </c>
    </row>
    <row r="18" customFormat="false" ht="15" hidden="false" customHeight="false" outlineLevel="0" collapsed="false">
      <c r="A18" s="5" t="s">
        <v>27</v>
      </c>
      <c r="B18" s="6" t="n">
        <v>18</v>
      </c>
      <c r="C18" s="7" t="s">
        <v>28</v>
      </c>
    </row>
    <row r="19" customFormat="false" ht="15" hidden="false" customHeight="false" outlineLevel="0" collapsed="false">
      <c r="A19" s="5" t="s">
        <v>29</v>
      </c>
      <c r="B19" s="9" t="n">
        <v>0.03</v>
      </c>
      <c r="C19" s="7"/>
    </row>
    <row r="20" customFormat="false" ht="15" hidden="false" customHeight="false" outlineLevel="0" collapsed="false">
      <c r="A20" s="3" t="s">
        <v>30</v>
      </c>
      <c r="B20" s="4"/>
      <c r="C20" s="4"/>
    </row>
    <row r="21" customFormat="false" ht="15" hidden="false" customHeight="false" outlineLevel="0" collapsed="false">
      <c r="A21" s="5" t="s">
        <v>31</v>
      </c>
      <c r="B21" s="6" t="n">
        <v>5</v>
      </c>
      <c r="C21" s="7" t="s">
        <v>32</v>
      </c>
    </row>
    <row r="22" customFormat="false" ht="15" hidden="false" customHeight="false" outlineLevel="0" collapsed="false">
      <c r="A22" s="5" t="s">
        <v>33</v>
      </c>
      <c r="B22" s="9" t="n">
        <v>0.6</v>
      </c>
      <c r="C22" s="7" t="s">
        <v>34</v>
      </c>
    </row>
    <row r="23" customFormat="false" ht="15" hidden="false" customHeight="false" outlineLevel="0" collapsed="false">
      <c r="A23" s="3" t="s">
        <v>35</v>
      </c>
      <c r="B23" s="4"/>
      <c r="C23" s="4"/>
    </row>
    <row r="24" customFormat="false" ht="15" hidden="false" customHeight="false" outlineLevel="0" collapsed="false">
      <c r="A24" s="5" t="s">
        <v>36</v>
      </c>
      <c r="B24" s="8" t="n">
        <v>30</v>
      </c>
      <c r="C24" s="7" t="s">
        <v>37</v>
      </c>
    </row>
    <row r="25" customFormat="false" ht="15" hidden="false" customHeight="false" outlineLevel="0" collapsed="false">
      <c r="A25" s="5" t="s">
        <v>38</v>
      </c>
      <c r="B25" s="6" t="n">
        <v>4</v>
      </c>
      <c r="C25" s="7" t="s">
        <v>39</v>
      </c>
    </row>
    <row r="26" customFormat="false" ht="15" hidden="false" customHeight="false" outlineLevel="0" collapsed="false">
      <c r="A26" s="3" t="s">
        <v>40</v>
      </c>
      <c r="B26" s="4"/>
      <c r="C26" s="4"/>
    </row>
    <row r="27" customFormat="false" ht="15" hidden="false" customHeight="false" outlineLevel="0" collapsed="false">
      <c r="A27" s="5" t="s">
        <v>41</v>
      </c>
      <c r="B27" s="11" t="s">
        <v>42</v>
      </c>
      <c r="C27" s="7" t="s">
        <v>43</v>
      </c>
    </row>
    <row r="28" customFormat="false" ht="15" hidden="false" customHeight="false" outlineLevel="0" collapsed="false">
      <c r="A28" s="5" t="s">
        <v>44</v>
      </c>
      <c r="B28" s="11" t="s">
        <v>42</v>
      </c>
      <c r="C28" s="7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8"/>
    <col collapsed="false" customWidth="true" hidden="false" outlineLevel="0" max="5" min="5" style="0" width="4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15" hidden="false" customHeight="false" outlineLevel="0" collapsed="false">
      <c r="A4" s="12" t="s">
        <v>48</v>
      </c>
      <c r="B4" s="12" t="s">
        <v>49</v>
      </c>
      <c r="C4" s="12" t="s">
        <v>50</v>
      </c>
      <c r="D4" s="12" t="s">
        <v>51</v>
      </c>
    </row>
    <row r="5" customFormat="false" ht="15" hidden="false" customHeight="false" outlineLevel="0" collapsed="false">
      <c r="A5" s="5" t="s">
        <v>3</v>
      </c>
      <c r="B5" s="13" t="n">
        <f aca="false">Inputs!$B$5</f>
        <v>200000</v>
      </c>
      <c r="C5" s="13" t="n">
        <f aca="false">Inputs!$B$5</f>
        <v>200000</v>
      </c>
      <c r="D5" s="13" t="n">
        <f aca="false">Inputs!$B$5</f>
        <v>200000</v>
      </c>
    </row>
    <row r="6" customFormat="false" ht="15" hidden="false" customHeight="false" outlineLevel="0" collapsed="false">
      <c r="A6" s="5" t="s">
        <v>52</v>
      </c>
      <c r="B6" s="14" t="n">
        <f aca="false">Inputs!$B$7*Inputs!$B$5</f>
        <v>4000000</v>
      </c>
      <c r="C6" s="14" t="n">
        <v>0</v>
      </c>
      <c r="D6" s="14" t="n">
        <v>0</v>
      </c>
      <c r="F6" s="7" t="s">
        <v>53</v>
      </c>
    </row>
    <row r="7" customFormat="false" ht="15" hidden="false" customHeight="false" outlineLevel="0" collapsed="false">
      <c r="A7" s="5" t="s">
        <v>54</v>
      </c>
      <c r="B7" s="15" t="n">
        <f aca="false">Inputs!$B$8</f>
        <v>6</v>
      </c>
      <c r="C7" s="15" t="n">
        <f aca="false">Inputs!$B$12</f>
        <v>15</v>
      </c>
      <c r="D7" s="15" t="n">
        <f aca="false">Inputs!$B$12*(1-Inputs!$B$13)</f>
        <v>8.25</v>
      </c>
      <c r="F7" s="7" t="s">
        <v>55</v>
      </c>
    </row>
    <row r="8" customFormat="false" ht="15" hidden="false" customHeight="false" outlineLevel="0" collapsed="false">
      <c r="A8" s="5" t="s">
        <v>56</v>
      </c>
      <c r="B8" s="14" t="n">
        <f aca="false">B7*Inputs!$B$14</f>
        <v>1500000</v>
      </c>
      <c r="C8" s="14" t="n">
        <f aca="false">C7*Inputs!$B$14</f>
        <v>3750000</v>
      </c>
      <c r="D8" s="14" t="n">
        <f aca="false">D7*Inputs!$B$14</f>
        <v>2062500</v>
      </c>
    </row>
    <row r="9" customFormat="false" ht="15" hidden="false" customHeight="false" outlineLevel="0" collapsed="false">
      <c r="A9" s="5" t="s">
        <v>57</v>
      </c>
      <c r="B9" s="14" t="n">
        <v>0</v>
      </c>
      <c r="C9" s="14" t="n">
        <f aca="false">C8*Inputs!$B$17</f>
        <v>750000</v>
      </c>
      <c r="D9" s="14" t="n">
        <f aca="false">D8*Inputs!$B$17</f>
        <v>412500</v>
      </c>
      <c r="F9" s="36" t="inlineStr">
        <is>
          <t xml:space="preserve">Risk premium is the price of owning security, compliance, on-call and the code.</t>
        </is>
      </c>
    </row>
    <row r="10" customFormat="false" ht="15" hidden="false" customHeight="false" outlineLevel="0" collapsed="false">
      <c r="A10" s="5" t="s">
        <v>59</v>
      </c>
      <c r="B10" s="14" t="n">
        <f aca="false">Inputs!$B$9</f>
        <v>500000</v>
      </c>
      <c r="C10" s="14" t="n">
        <v>0</v>
      </c>
      <c r="D10" s="14" t="n">
        <v>0</v>
      </c>
    </row>
    <row r="11" customFormat="false" ht="15" hidden="false" customHeight="false" outlineLevel="0" collapsed="false">
      <c r="A11" s="5" t="s">
        <v>60</v>
      </c>
      <c r="B11" s="14" t="n">
        <v>0</v>
      </c>
      <c r="C11" s="14" t="n">
        <f aca="false">Inputs!$B$15+Inputs!$B$16*Inputs!$B$5</f>
        <v>1200000</v>
      </c>
      <c r="D11" s="14" t="n">
        <f aca="false">Inputs!$B$15+Inputs!$B$16*Inputs!$B$5</f>
        <v>1200000</v>
      </c>
    </row>
    <row r="12" customFormat="false" ht="15" hidden="false" customHeight="false" outlineLevel="0" collapsed="false">
      <c r="A12" s="16" t="s">
        <v>61</v>
      </c>
      <c r="B12" s="17" t="n">
        <f aca="false">B6+B8+B9+B10+B11</f>
        <v>6000000</v>
      </c>
      <c r="C12" s="17" t="n">
        <f aca="false">C6+C8+C9+C10+C11</f>
        <v>5700000</v>
      </c>
      <c r="D12" s="17" t="n">
        <f aca="false">D6+D8+D9+D10+D11</f>
        <v>3675000</v>
      </c>
    </row>
    <row r="13" customFormat="false" ht="15" hidden="false" customHeight="false" outlineLevel="0" collapsed="false">
      <c r="A13" s="5" t="s">
        <v>62</v>
      </c>
      <c r="B13" s="18" t="n">
        <f aca="false">IF(Inputs!$B$5=0,0,B12/Inputs!$B$5)</f>
        <v>30</v>
      </c>
      <c r="C13" s="18" t="n">
        <f aca="false">IF(Inputs!$B$5=0,0,C12/Inputs!$B$5)</f>
        <v>28.5</v>
      </c>
      <c r="D13" s="18" t="n">
        <f aca="false">IF(Inputs!$B$5=0,0,D12/Inputs!$B$5)</f>
        <v>18.375</v>
      </c>
    </row>
    <row r="15" customFormat="false" ht="17.35" hidden="false" customHeight="false" outlineLevel="0" collapsed="false">
      <c r="A15" s="1" t="s">
        <v>63</v>
      </c>
    </row>
    <row r="16" customFormat="false" ht="15" hidden="false" customHeight="false" outlineLevel="0" collapsed="false">
      <c r="A16" s="12" t="s">
        <v>64</v>
      </c>
      <c r="B16" s="12"/>
      <c r="C16" s="12" t="s">
        <v>50</v>
      </c>
      <c r="D16" s="12" t="s">
        <v>51</v>
      </c>
    </row>
    <row r="17" customFormat="false" ht="15" hidden="false" customHeight="false" outlineLevel="0" collapsed="false">
      <c r="A17" s="5" t="s">
        <v>65</v>
      </c>
      <c r="C17" s="19" t="n">
        <f aca="false">IF((Inputs!$B$7-Inputs!$B$16)&lt;=0,"n/a",(C8+C9+C11-Inputs!$B$16*Inputs!$B$5-B8-B10)/(Inputs!$B$7-Inputs!$B$16))</f>
        <v>184210.526315789</v>
      </c>
      <c r="D17" s="19" t="n">
        <f aca="false">IF((Inputs!$B$7-Inputs!$B$16)&lt;=0,"n/a",(D8+D9+D11-Inputs!$B$16*Inputs!$B$5-B8-B10)/(Inputs!$B$7-Inputs!$B$16))</f>
        <v>77631.5789473684</v>
      </c>
      <c r="F17" s="7" t="s">
        <v>66</v>
      </c>
    </row>
    <row r="18" customFormat="false" ht="15" hidden="false" customHeight="false" outlineLevel="0" collapsed="false">
      <c r="A18" s="5" t="s">
        <v>67</v>
      </c>
      <c r="C18" s="20" t="str">
        <f aca="false">IF(ISNUMBER(C17),IF(Inputs!$B$5&gt;=C17,"Above — build cheaper on paper","Below — buy cheaper"),"n/a")</f>
        <v>Above — build cheaper on paper</v>
      </c>
      <c r="D18" s="20" t="str">
        <f aca="false">IF(ISNUMBER(D17),IF(Inputs!$B$5&gt;=D17,"Above — build cheaper on paper","Below — buy cheaper"),"n/a")</f>
        <v>Above — build cheaper on paper</v>
      </c>
    </row>
    <row r="19" customFormat="false" ht="15" hidden="false" customHeight="false" outlineLevel="0" collapsed="false">
      <c r="A19" s="5" t="s">
        <v>68</v>
      </c>
      <c r="C19" s="21" t="n">
        <f aca="false">IF(Inputs!$B$5=0,0,C8/Inputs!$B$5)</f>
        <v>18.75</v>
      </c>
      <c r="D19" s="21" t="n">
        <f aca="false">IF(Inputs!$B$5=0,0,D8/Inputs!$B$5)</f>
        <v>10.3125</v>
      </c>
    </row>
    <row r="20" customFormat="false" ht="15" hidden="false" customHeight="false" outlineLevel="0" collapsed="false">
      <c r="A20" s="5" t="s">
        <v>69</v>
      </c>
      <c r="C20" s="22" t="n">
        <f aca="false">IF(Inputs!$B$7=0,0,C19/Inputs!$B$7)</f>
        <v>0.9375</v>
      </c>
      <c r="D20" s="22" t="n">
        <f aca="false">IF(Inputs!$B$7=0,0,D19/Inputs!$B$7)</f>
        <v>0.515625</v>
      </c>
    </row>
    <row r="21" customFormat="false" ht="15" hidden="false" customHeight="false" outlineLevel="0" collapsed="false">
      <c r="A21" s="5" t="s">
        <v>70</v>
      </c>
      <c r="C21" s="20" t="str">
        <f aca="false">IF(C20&lt;=Inputs!$B$22,"Yes","No")</f>
        <v>No</v>
      </c>
      <c r="D21" s="20" t="str">
        <f aca="false">IF(D20&lt;=Inputs!$B$22,"Yes","No")</f>
        <v>Yes</v>
      </c>
    </row>
    <row r="22" customFormat="false" ht="15" hidden="false" customHeight="false" outlineLevel="0" collapsed="false">
      <c r="A22" s="5" t="s">
        <v>71</v>
      </c>
      <c r="C22" s="23" t="n">
        <f aca="false">B12-C12</f>
        <v>300000</v>
      </c>
      <c r="D22" s="23" t="n">
        <f aca="false">B12-D12</f>
        <v>2325000</v>
      </c>
    </row>
    <row r="25" customFormat="false" ht="17.35" hidden="false" customHeight="false" outlineLevel="0" collapsed="false">
      <c r="A25" s="1" t="s">
        <v>72</v>
      </c>
    </row>
    <row r="26" customFormat="false" ht="15" hidden="false" customHeight="false" outlineLevel="0" collapsed="false">
      <c r="A26" s="2" t="s">
        <v>73</v>
      </c>
    </row>
    <row r="27" customFormat="false" ht="15" hidden="false" customHeight="false" outlineLevel="0" collapsed="false">
      <c r="A27" s="12" t="s">
        <v>74</v>
      </c>
      <c r="B27" s="12" t="s">
        <v>49</v>
      </c>
      <c r="C27" s="12" t="s">
        <v>50</v>
      </c>
      <c r="D27" s="12" t="s">
        <v>51</v>
      </c>
      <c r="E27" s="12"/>
      <c r="F27" s="12" t="s">
        <v>75</v>
      </c>
    </row>
    <row r="28" customFormat="false" ht="15" hidden="false" customHeight="false" outlineLevel="0" collapsed="false">
      <c r="A28" s="5" t="s">
        <v>76</v>
      </c>
      <c r="B28" s="14" t="n">
        <f aca="false">IF(1&lt;=Inputs!$B$21,Inputs!$B$7*Inputs!$B$5*(1+Inputs!$B$10)^0+B8*(1+Inputs!$B$19)^0+Inputs!$B$9,0)</f>
        <v>6000000</v>
      </c>
      <c r="C28" s="14" t="n">
        <f aca="false">IF(1&lt;=Inputs!$B$21,(C8+C9)*(1+Inputs!$B$19)^0+C11+B28*F28/12,0)</f>
        <v>11700000</v>
      </c>
      <c r="D28" s="14" t="n">
        <f aca="false">IF(1&lt;=Inputs!$B$21,(D8+D9)*(1+Inputs!$B$19)^0+D11+B28*F28/12,0)</f>
        <v>9675000</v>
      </c>
      <c r="F28" s="24" t="n">
        <f aca="false">IF(1&lt;=Inputs!$B$21,MAX(0,MIN(12,Inputs!$B$18-12*0)),0)</f>
        <v>12</v>
      </c>
    </row>
    <row r="29" customFormat="false" ht="15" hidden="false" customHeight="false" outlineLevel="0" collapsed="false">
      <c r="A29" s="5" t="s">
        <v>77</v>
      </c>
      <c r="B29" s="14" t="n">
        <f aca="false">IF(2&lt;=Inputs!$B$21,Inputs!$B$7*Inputs!$B$5*(1+Inputs!$B$10)^1+B8*(1+Inputs!$B$19)^1+Inputs!$B$9,0)</f>
        <v>6245000</v>
      </c>
      <c r="C29" s="14" t="n">
        <f aca="false">IF(2&lt;=Inputs!$B$21,(C8+C9)*(1+Inputs!$B$19)^1+C11+B29*F29/12,0)</f>
        <v>8957500</v>
      </c>
      <c r="D29" s="14" t="n">
        <f aca="false">IF(2&lt;=Inputs!$B$21,(D8+D9)*(1+Inputs!$B$19)^1+D11+B29*F29/12,0)</f>
        <v>6871750</v>
      </c>
      <c r="F29" s="24" t="n">
        <f aca="false">IF(2&lt;=Inputs!$B$21,MAX(0,MIN(12,Inputs!$B$18-12*1)),0)</f>
        <v>6</v>
      </c>
    </row>
    <row r="30" customFormat="false" ht="15" hidden="false" customHeight="false" outlineLevel="0" collapsed="false">
      <c r="A30" s="5" t="s">
        <v>78</v>
      </c>
      <c r="B30" s="14" t="n">
        <f aca="false">IF(3&lt;=Inputs!$B$21,Inputs!$B$7*Inputs!$B$5*(1+Inputs!$B$10)^2+B8*(1+Inputs!$B$19)^2+Inputs!$B$9,0)</f>
        <v>6501350</v>
      </c>
      <c r="C30" s="14" t="n">
        <f aca="false">IF(3&lt;=Inputs!$B$21,(C8+C9)*(1+Inputs!$B$19)^2+C11+B30*F30/12,0)</f>
        <v>5974050</v>
      </c>
      <c r="D30" s="14" t="n">
        <f aca="false">IF(3&lt;=Inputs!$B$21,(D8+D9)*(1+Inputs!$B$19)^2+D11+B30*F30/12,0)</f>
        <v>3825727.5</v>
      </c>
      <c r="F30" s="24" t="n">
        <f aca="false">IF(3&lt;=Inputs!$B$21,MAX(0,MIN(12,Inputs!$B$18-12*2)),0)</f>
        <v>0</v>
      </c>
    </row>
    <row r="31" customFormat="false" ht="15" hidden="false" customHeight="false" outlineLevel="0" collapsed="false">
      <c r="A31" s="5" t="s">
        <v>79</v>
      </c>
      <c r="B31" s="14" t="n">
        <f aca="false">IF(4&lt;=Inputs!$B$21,Inputs!$B$7*Inputs!$B$5*(1+Inputs!$B$10)^3+B8*(1+Inputs!$B$19)^3+Inputs!$B$9,0)</f>
        <v>6769590.5</v>
      </c>
      <c r="C31" s="14" t="n">
        <f aca="false">IF(4&lt;=Inputs!$B$21,(C8+C9)*(1+Inputs!$B$19)^3+C11+B31*F31/12,0)</f>
        <v>6117271.5</v>
      </c>
      <c r="D31" s="14" t="n">
        <f aca="false">IF(4&lt;=Inputs!$B$21,(D8+D9)*(1+Inputs!$B$19)^3+D11+B31*F31/12,0)</f>
        <v>3904499.325</v>
      </c>
      <c r="F31" s="24" t="n">
        <f aca="false">IF(4&lt;=Inputs!$B$21,MAX(0,MIN(12,Inputs!$B$18-12*3)),0)</f>
        <v>0</v>
      </c>
    </row>
    <row r="32" customFormat="false" ht="15" hidden="false" customHeight="false" outlineLevel="0" collapsed="false">
      <c r="A32" s="5" t="s">
        <v>80</v>
      </c>
      <c r="B32" s="14" t="n">
        <f aca="false">IF(5&lt;=Inputs!$B$21,Inputs!$B$7*Inputs!$B$5*(1+Inputs!$B$10)^4+B8*(1+Inputs!$B$19)^4+Inputs!$B$9,0)</f>
        <v>7050288.215</v>
      </c>
      <c r="C32" s="14" t="n">
        <f aca="false">IF(5&lt;=Inputs!$B$21,(C8+C9)*(1+Inputs!$B$19)^4+C11+B32*F32/12,0)</f>
        <v>6264789.645</v>
      </c>
      <c r="D32" s="14" t="n">
        <f aca="false">IF(5&lt;=Inputs!$B$21,(D8+D9)*(1+Inputs!$B$19)^4+D11+B32*F32/12,0)</f>
        <v>3985634.30475</v>
      </c>
      <c r="F32" s="24" t="n">
        <f aca="false">IF(5&lt;=Inputs!$B$21,MAX(0,MIN(12,Inputs!$B$18-12*4)),0)</f>
        <v>0</v>
      </c>
    </row>
    <row r="33" customFormat="false" ht="15" hidden="false" customHeight="false" outlineLevel="0" collapsed="false">
      <c r="A33" s="5" t="s">
        <v>81</v>
      </c>
      <c r="B33" s="14" t="n">
        <f aca="false">IF(6&lt;=Inputs!$B$21,Inputs!$B$7*Inputs!$B$5*(1+Inputs!$B$10)^5+B8*(1+Inputs!$B$19)^5+Inputs!$B$9,0)</f>
        <v>0</v>
      </c>
      <c r="C33" s="14" t="n">
        <f aca="false">IF(6&lt;=Inputs!$B$21,(C8+C9)*(1+Inputs!$B$19)^5+C11+B33*F33/12,0)</f>
        <v>0</v>
      </c>
      <c r="D33" s="14" t="n">
        <f aca="false">IF(6&lt;=Inputs!$B$21,(D8+D9)*(1+Inputs!$B$19)^5+D11+B33*F33/12,0)</f>
        <v>0</v>
      </c>
      <c r="F33" s="24" t="n">
        <f aca="false">IF(6&lt;=Inputs!$B$21,MAX(0,MIN(12,Inputs!$B$18-12*5)),0)</f>
        <v>0</v>
      </c>
    </row>
    <row r="34" customFormat="false" ht="15" hidden="false" customHeight="false" outlineLevel="0" collapsed="false">
      <c r="A34" s="5" t="s">
        <v>82</v>
      </c>
      <c r="B34" s="14" t="n">
        <f aca="false">IF(7&lt;=Inputs!$B$21,Inputs!$B$7*Inputs!$B$5*(1+Inputs!$B$10)^6+B8*(1+Inputs!$B$19)^6+Inputs!$B$9,0)</f>
        <v>0</v>
      </c>
      <c r="C34" s="14" t="n">
        <f aca="false">IF(7&lt;=Inputs!$B$21,(C8+C9)*(1+Inputs!$B$19)^6+C11+B34*F34/12,0)</f>
        <v>0</v>
      </c>
      <c r="D34" s="14" t="n">
        <f aca="false">IF(7&lt;=Inputs!$B$21,(D8+D9)*(1+Inputs!$B$19)^6+D11+B34*F34/12,0)</f>
        <v>0</v>
      </c>
      <c r="F34" s="24" t="n">
        <f aca="false">IF(7&lt;=Inputs!$B$21,MAX(0,MIN(12,Inputs!$B$18-12*6)),0)</f>
        <v>0</v>
      </c>
    </row>
    <row r="35" customFormat="false" ht="15" hidden="false" customHeight="false" outlineLevel="0" collapsed="false">
      <c r="A35" s="5" t="s">
        <v>83</v>
      </c>
      <c r="B35" s="14" t="n">
        <f aca="false">IF(8&lt;=Inputs!$B$21,Inputs!$B$7*Inputs!$B$5*(1+Inputs!$B$10)^7+B8*(1+Inputs!$B$19)^7+Inputs!$B$9,0)</f>
        <v>0</v>
      </c>
      <c r="C35" s="14" t="n">
        <f aca="false">IF(8&lt;=Inputs!$B$21,(C8+C9)*(1+Inputs!$B$19)^7+C11+B35*F35/12,0)</f>
        <v>0</v>
      </c>
      <c r="D35" s="14" t="n">
        <f aca="false">IF(8&lt;=Inputs!$B$21,(D8+D9)*(1+Inputs!$B$19)^7+D11+B35*F35/12,0)</f>
        <v>0</v>
      </c>
      <c r="F35" s="24" t="n">
        <f aca="false">IF(8&lt;=Inputs!$B$21,MAX(0,MIN(12,Inputs!$B$18-12*7)),0)</f>
        <v>0</v>
      </c>
    </row>
    <row r="36" customFormat="false" ht="15" hidden="false" customHeight="false" outlineLevel="0" collapsed="false">
      <c r="A36" s="5" t="s">
        <v>84</v>
      </c>
      <c r="B36" s="14" t="n">
        <f aca="false">IF(9&lt;=Inputs!$B$21,Inputs!$B$7*Inputs!$B$5*(1+Inputs!$B$10)^8+B8*(1+Inputs!$B$19)^8+Inputs!$B$9,0)</f>
        <v>0</v>
      </c>
      <c r="C36" s="14" t="n">
        <f aca="false">IF(9&lt;=Inputs!$B$21,(C8+C9)*(1+Inputs!$B$19)^8+C11+B36*F36/12,0)</f>
        <v>0</v>
      </c>
      <c r="D36" s="14" t="n">
        <f aca="false">IF(9&lt;=Inputs!$B$21,(D8+D9)*(1+Inputs!$B$19)^8+D11+B36*F36/12,0)</f>
        <v>0</v>
      </c>
      <c r="F36" s="24" t="n">
        <f aca="false">IF(9&lt;=Inputs!$B$21,MAX(0,MIN(12,Inputs!$B$18-12*8)),0)</f>
        <v>0</v>
      </c>
    </row>
    <row r="37" customFormat="false" ht="15" hidden="false" customHeight="false" outlineLevel="0" collapsed="false">
      <c r="A37" s="5" t="s">
        <v>85</v>
      </c>
      <c r="B37" s="14" t="n">
        <f aca="false">IF(10&lt;=Inputs!$B$21,Inputs!$B$7*Inputs!$B$5*(1+Inputs!$B$10)^9+B8*(1+Inputs!$B$19)^9+Inputs!$B$9,0)</f>
        <v>0</v>
      </c>
      <c r="C37" s="14" t="n">
        <f aca="false">IF(10&lt;=Inputs!$B$21,(C8+C9)*(1+Inputs!$B$19)^9+C11+B37*F37/12,0)</f>
        <v>0</v>
      </c>
      <c r="D37" s="14" t="n">
        <f aca="false">IF(10&lt;=Inputs!$B$21,(D8+D9)*(1+Inputs!$B$19)^9+D11+B37*F37/12,0)</f>
        <v>0</v>
      </c>
      <c r="F37" s="24" t="n">
        <f aca="false">IF(10&lt;=Inputs!$B$21,MAX(0,MIN(12,Inputs!$B$18-12*9)),0)</f>
        <v>0</v>
      </c>
    </row>
    <row r="38" customFormat="false" ht="15" hidden="false" customHeight="false" outlineLevel="0" collapsed="false">
      <c r="A38" s="16" t="s">
        <v>86</v>
      </c>
      <c r="B38" s="17" t="n">
        <f aca="false">SUM(B28:B37)</f>
        <v>32566228.715</v>
      </c>
      <c r="C38" s="17" t="n">
        <f aca="false">SUM(C28:C37)</f>
        <v>39013611.145</v>
      </c>
      <c r="D38" s="17" t="n">
        <f aca="false">SUM(D28:D37)</f>
        <v>28262611.12975</v>
      </c>
    </row>
    <row r="39" customFormat="false" ht="15" hidden="false" customHeight="false" outlineLevel="0" collapsed="false">
      <c r="A39" s="5" t="s">
        <v>87</v>
      </c>
      <c r="C39" s="14" t="n">
        <f aca="false">B38-C38</f>
        <v>-6447382.43</v>
      </c>
      <c r="D39" s="14" t="n">
        <f aca="false">B38-D38</f>
        <v>4303617.58525001</v>
      </c>
    </row>
    <row r="40" customFormat="false" ht="15" hidden="false" customHeight="false" outlineLevel="0" collapsed="false">
      <c r="A40" s="5" t="s">
        <v>88</v>
      </c>
      <c r="C40" s="20" t="str">
        <f aca="false">IF(MIN(IF(AND(1&lt;=Inputs!$B$21,SUM(C$28:C28)&lt;=SUM(B$28:B28)),1,99),IF(AND(2&lt;=Inputs!$B$21,SUM(C$28:C29)&lt;=SUM(B$28:B29)),2,99),IF(AND(3&lt;=Inputs!$B$21,SUM(C$28:C30)&lt;=SUM(B$28:B30)),3,99),IF(AND(4&lt;=Inputs!$B$21,SUM(C$28:C31)&lt;=SUM(B$28:B31)),4,99),IF(AND(5&lt;=Inputs!$B$21,SUM(C$28:C32)&lt;=SUM(B$28:B32)),5,99),IF(AND(6&lt;=Inputs!$B$21,SUM(C$28:C33)&lt;=SUM(B$28:B33)),6,99),IF(AND(7&lt;=Inputs!$B$21,SUM(C$28:C34)&lt;=SUM(B$28:B34)),7,99),IF(AND(8&lt;=Inputs!$B$21,SUM(C$28:C35)&lt;=SUM(B$28:B35)),8,99),IF(AND(9&lt;=Inputs!$B$21,SUM(C$28:C36)&lt;=SUM(B$28:B36)),9,99),IF(AND(10&lt;=Inputs!$B$21,SUM(C$28:C37)&lt;=SUM(B$28:B37)),10,99))=99,"Never within horizon",MIN(IF(AND(1&lt;=Inputs!$B$21,SUM(C$28:C28)&lt;=SUM(B$28:B28)),1,99),IF(AND(2&lt;=Inputs!$B$21,SUM(C$28:C29)&lt;=SUM(B$28:B29)),2,99),IF(AND(3&lt;=Inputs!$B$21,SUM(C$28:C30)&lt;=SUM(B$28:B30)),3,99),IF(AND(4&lt;=Inputs!$B$21,SUM(C$28:C31)&lt;=SUM(B$28:B31)),4,99),IF(AND(5&lt;=Inputs!$B$21,SUM(C$28:C32)&lt;=SUM(B$28:B32)),5,99),IF(AND(6&lt;=Inputs!$B$21,SUM(C$28:C33)&lt;=SUM(B$28:B33)),6,99),IF(AND(7&lt;=Inputs!$B$21,SUM(C$28:C34)&lt;=SUM(B$28:B34)),7,99),IF(AND(8&lt;=Inputs!$B$21,SUM(C$28:C35)&lt;=SUM(B$28:B35)),8,99),IF(AND(9&lt;=Inputs!$B$21,SUM(C$28:C36)&lt;=SUM(B$28:B36)),9,99),IF(AND(10&lt;=Inputs!$B$21,SUM(C$28:C37)&lt;=SUM(B$28:B37)),10,99)))</f>
        <v>Never within horizon</v>
      </c>
      <c r="D40" s="20" t="n">
        <f aca="false">IF(MIN(IF(AND(1&lt;=Inputs!$B$21,SUM(D$28:D28)&lt;=SUM(B$28:B28)),1,99),IF(AND(2&lt;=Inputs!$B$21,SUM(D$28:D29)&lt;=SUM(B$28:B29)),2,99),IF(AND(3&lt;=Inputs!$B$21,SUM(D$28:D30)&lt;=SUM(B$28:B30)),3,99),IF(AND(4&lt;=Inputs!$B$21,SUM(D$28:D31)&lt;=SUM(B$28:B31)),4,99),IF(AND(5&lt;=Inputs!$B$21,SUM(D$28:D32)&lt;=SUM(B$28:B32)),5,99),IF(AND(6&lt;=Inputs!$B$21,SUM(D$28:D33)&lt;=SUM(B$28:B33)),6,99),IF(AND(7&lt;=Inputs!$B$21,SUM(D$28:D34)&lt;=SUM(B$28:B34)),7,99),IF(AND(8&lt;=Inputs!$B$21,SUM(D$28:D35)&lt;=SUM(B$28:B35)),8,99),IF(AND(9&lt;=Inputs!$B$21,SUM(D$28:D36)&lt;=SUM(B$28:B36)),9,99),IF(AND(10&lt;=Inputs!$B$21,SUM(D$28:D37)&lt;=SUM(B$28:B37)),10,99))=99,"Never within horizon",MIN(IF(AND(1&lt;=Inputs!$B$21,SUM(D$28:D28)&lt;=SUM(B$28:B28)),1,99),IF(AND(2&lt;=Inputs!$B$21,SUM(D$28:D29)&lt;=SUM(B$28:B29)),2,99),IF(AND(3&lt;=Inputs!$B$21,SUM(D$28:D30)&lt;=SUM(B$28:B30)),3,99),IF(AND(4&lt;=Inputs!$B$21,SUM(D$28:D31)&lt;=SUM(B$28:B31)),4,99),IF(AND(5&lt;=Inputs!$B$21,SUM(D$28:D32)&lt;=SUM(B$28:B32)),5,99),IF(AND(6&lt;=Inputs!$B$21,SUM(D$28:D33)&lt;=SUM(B$28:B33)),6,99),IF(AND(7&lt;=Inputs!$B$21,SUM(D$28:D34)&lt;=SUM(B$28:B34)),7,99),IF(AND(8&lt;=Inputs!$B$21,SUM(D$28:D35)&lt;=SUM(B$28:B35)),8,99),IF(AND(9&lt;=Inputs!$B$21,SUM(D$28:D36)&lt;=SUM(B$28:B36)),9,99),IF(AND(10&lt;=Inputs!$B$21,SUM(D$28:D37)&lt;=SUM(B$28:B37)),10,99)))</f>
        <v>4</v>
      </c>
    </row>
    <row r="43" customFormat="false" ht="17.35" hidden="false" customHeight="false" outlineLevel="0" collapsed="false">
      <c r="A43" s="1" t="s">
        <v>89</v>
      </c>
    </row>
    <row r="44" customFormat="false" ht="15" hidden="false" customHeight="false" outlineLevel="0" collapsed="false">
      <c r="A44" s="12" t="s">
        <v>48</v>
      </c>
      <c r="B44" s="12" t="s">
        <v>90</v>
      </c>
      <c r="C44" s="12" t="s">
        <v>91</v>
      </c>
      <c r="D44" s="12"/>
    </row>
    <row r="45" customFormat="false" ht="15" hidden="false" customHeight="false" outlineLevel="0" collapsed="false">
      <c r="A45" s="5" t="s">
        <v>92</v>
      </c>
      <c r="B45" s="14" t="n">
        <f aca="false">Inputs!$B$24*12*Inputs!$B$5</f>
        <v>72000000</v>
      </c>
      <c r="C45" s="14" t="n">
        <v>0</v>
      </c>
      <c r="F45" s="7" t="s">
        <v>93</v>
      </c>
    </row>
    <row r="46" customFormat="false" ht="15" hidden="false" customHeight="false" outlineLevel="0" collapsed="false">
      <c r="A46" s="5" t="s">
        <v>94</v>
      </c>
      <c r="B46" s="14" t="n">
        <v>0</v>
      </c>
      <c r="C46" s="14" t="n">
        <f aca="false">Inputs!$B$25*Inputs!$B$14</f>
        <v>1000000</v>
      </c>
    </row>
    <row r="47" customFormat="false" ht="15" hidden="false" customHeight="false" outlineLevel="0" collapsed="false">
      <c r="A47" s="5" t="s">
        <v>57</v>
      </c>
      <c r="B47" s="14" t="n">
        <v>0</v>
      </c>
      <c r="C47" s="14" t="n">
        <f aca="false">C46*Inputs!$B$17</f>
        <v>200000</v>
      </c>
    </row>
    <row r="48" customFormat="false" ht="15" hidden="false" customHeight="false" outlineLevel="0" collapsed="false">
      <c r="A48" s="5" t="s">
        <v>95</v>
      </c>
      <c r="B48" s="14" t="n">
        <v>0</v>
      </c>
      <c r="C48" s="14" t="n">
        <f aca="false">Inputs!$B$15</f>
        <v>1000000</v>
      </c>
    </row>
    <row r="49" customFormat="false" ht="15" hidden="false" customHeight="false" outlineLevel="0" collapsed="false">
      <c r="A49" s="16" t="s">
        <v>96</v>
      </c>
      <c r="B49" s="14" t="n">
        <f aca="false">SUM(B45:B48)</f>
        <v>72000000</v>
      </c>
      <c r="C49" s="14" t="n">
        <f aca="false">SUM(C45:C48)</f>
        <v>2200000</v>
      </c>
    </row>
    <row r="50" customFormat="false" ht="15" hidden="false" customHeight="false" outlineLevel="0" collapsed="false">
      <c r="A50" s="5" t="s">
        <v>97</v>
      </c>
      <c r="C50" s="14" t="n">
        <f aca="false">B49-C49</f>
        <v>69800000</v>
      </c>
    </row>
    <row r="51" customFormat="false" ht="15" hidden="false" customHeight="false" outlineLevel="0" collapsed="false">
      <c r="A51" s="5" t="s">
        <v>98</v>
      </c>
      <c r="C51" s="24" t="n">
        <f aca="false">IF(Inputs!$B$14=0,0,B49/Inputs!$B$14)</f>
        <v>288</v>
      </c>
      <c r="F51" s="7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2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100</v>
      </c>
    </row>
    <row r="2" customFormat="false" ht="15" hidden="false" customHeight="false" outlineLevel="0" collapsed="false">
      <c r="A2" s="34" t="inlineStr">
        <is>
          <t xml:space="preserve">Build only if EVERY gate passes.</t>
        </is>
      </c>
    </row>
    <row r="4" customFormat="false" ht="15" hidden="false" customHeight="false" outlineLevel="0" collapsed="false">
      <c r="A4" s="12" t="s">
        <v>102</v>
      </c>
      <c r="B4" s="12" t="s">
        <v>103</v>
      </c>
      <c r="C4" s="0"/>
    </row>
    <row r="5" customFormat="false" ht="15" hidden="false" customHeight="false" outlineLevel="0" collapsed="false">
      <c r="A5" s="5" t="s">
        <v>105</v>
      </c>
      <c r="B5" s="25" t="str">
        <f aca="false">IF(ISNUMBER(Model!D17),IF(Inputs!$B$5&gt;=Model!D17,"PASS","FAIL"),"FAIL")</f>
        <v>PASS</v>
      </c>
      <c r="C5" s="7"/>
    </row>
    <row r="6" customFormat="false" ht="15" hidden="false" customHeight="false" outlineLevel="0" collapsed="false">
      <c r="A6" s="5" t="s">
        <v>107</v>
      </c>
      <c r="B6" s="25" t="str">
        <f aca="false">IF(Model!D21="Yes","PASS","FAIL")</f>
        <v>PASS</v>
      </c>
      <c r="C6" s="7"/>
    </row>
    <row r="7" customFormat="false" ht="15" hidden="false" customHeight="false" outlineLevel="0" collapsed="false">
      <c r="A7" s="5" t="s">
        <v>109</v>
      </c>
      <c r="B7" s="25" t="str">
        <f aca="false">IF(ISNUMBER(Model!D40),"PASS","FAIL")</f>
        <v>PASS</v>
      </c>
      <c r="C7" s="7"/>
    </row>
    <row r="8" customFormat="false" ht="15" hidden="false" customHeight="false" outlineLevel="0" collapsed="false">
      <c r="A8" s="5" t="s">
        <v>111</v>
      </c>
      <c r="B8" s="25" t="str">
        <f aca="false">IF(Inputs!$B$27="Y","PASS","FAIL")</f>
        <v>FAIL</v>
      </c>
      <c r="C8" s="7"/>
    </row>
    <row r="9" customFormat="false" ht="15" hidden="false" customHeight="false" outlineLevel="0" collapsed="false">
      <c r="A9" s="5" t="s">
        <v>113</v>
      </c>
      <c r="B9" s="25" t="str">
        <f aca="false">IF(Inputs!$B$28="Y","PASS","FAIL")</f>
        <v>FAIL</v>
      </c>
      <c r="C9" s="7"/>
    </row>
    <row r="11" customFormat="false" ht="17.35" hidden="false" customHeight="false" outlineLevel="0" collapsed="false">
      <c r="A11" s="1" t="s">
        <v>115</v>
      </c>
      <c r="B11" s="26" t="str">
        <f aca="false">IF(COUNTIF(B5:B9,"PASS")=5,"BUILD","BUY the platform")</f>
        <v>BUY the platform</v>
      </c>
    </row>
    <row r="12" customFormat="false" ht="15" hidden="false" customHeight="false" outlineLevel="0" collapsed="false">
      <c r="A12" s="0" t="s">
        <v>116</v>
      </c>
      <c r="B12" s="27" t="str">
        <f aca="false">COUNTIF(B5:B9,"PASS")&amp;" of 5"</f>
        <v>3 of 5</v>
      </c>
    </row>
    <row r="14" customFormat="false" ht="15" hidden="false" customHeight="false" outlineLevel="0" collapsed="false">
      <c r="A14" s="16" t="s">
        <v>117</v>
      </c>
      <c r="B14" s="25" t="str">
        <f aca="false">IF(Model!C50&gt;0,"BUILD the AI layer","BUY the add-on")</f>
        <v>BUILD the AI layer</v>
      </c>
      <c r="C14" s="7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8"/>
    <col collapsed="false" customWidth="true" hidden="false" outlineLevel="0" max="4" min="4" style="0" width="20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20"/>
  </cols>
  <sheetData>
    <row r="1" customFormat="false" ht="17.35" hidden="false" customHeight="false" outlineLevel="0" collapsed="false">
      <c r="A1" s="1" t="s">
        <v>119</v>
      </c>
      <c r="F1" s="1" t="s">
        <v>120</v>
      </c>
    </row>
    <row r="3" customFormat="false" ht="23.85" hidden="false" customHeight="false" outlineLevel="0" collapsed="false">
      <c r="A3" s="12" t="s">
        <v>3</v>
      </c>
      <c r="B3" s="12" t="s">
        <v>121</v>
      </c>
      <c r="C3" s="12" t="s">
        <v>122</v>
      </c>
      <c r="D3" s="12" t="s">
        <v>123</v>
      </c>
      <c r="F3" s="12" t="s">
        <v>124</v>
      </c>
      <c r="G3" s="12" t="s">
        <v>125</v>
      </c>
      <c r="H3" s="12" t="s">
        <v>126</v>
      </c>
    </row>
    <row r="4" customFormat="false" ht="15" hidden="false" customHeight="false" outlineLevel="0" collapsed="false">
      <c r="A4" s="28" t="n">
        <v>25000</v>
      </c>
      <c r="B4" s="14" t="n">
        <f aca="false">Inputs!$B$7*A4+Model!$B$8+Inputs!$B$9</f>
        <v>2500000</v>
      </c>
      <c r="C4" s="14" t="n">
        <f aca="false">Model!$C$8+Model!$C$9+Inputs!$B$15+Inputs!$B$16*A4</f>
        <v>5525000</v>
      </c>
      <c r="D4" s="14" t="n">
        <f aca="false">Model!$D$8+Model!$D$9+Inputs!$B$15+Inputs!$B$16*A4</f>
        <v>3500000</v>
      </c>
      <c r="F4" s="29" t="n">
        <v>5</v>
      </c>
      <c r="G4" s="24" t="n">
        <f aca="false">IF((F4-Inputs!$B$16)&lt;=0,"n/a",(Model!$C$8+Model!$C$9+Inputs!$B$15-Model!$B$8-Inputs!$B$9)/(F4-Inputs!$B$16))</f>
        <v>875000</v>
      </c>
      <c r="H4" s="24" t="n">
        <f aca="false">IF((F4-Inputs!$B$16)&lt;=0,"n/a",(Model!$D$8+Model!$D$9+Inputs!$B$15-Model!$B$8-Inputs!$B$9)/(F4-Inputs!$B$16))</f>
        <v>368750</v>
      </c>
    </row>
    <row r="5" customFormat="false" ht="15" hidden="false" customHeight="false" outlineLevel="0" collapsed="false">
      <c r="A5" s="28" t="n">
        <v>50000</v>
      </c>
      <c r="B5" s="14" t="n">
        <f aca="false">Inputs!$B$7*A5+Model!$B$8+Inputs!$B$9</f>
        <v>3000000</v>
      </c>
      <c r="C5" s="14" t="n">
        <f aca="false">Model!$C$8+Model!$C$9+Inputs!$B$15+Inputs!$B$16*A5</f>
        <v>5550000</v>
      </c>
      <c r="D5" s="14" t="n">
        <f aca="false">Model!$D$8+Model!$D$9+Inputs!$B$15+Inputs!$B$16*A5</f>
        <v>3525000</v>
      </c>
      <c r="F5" s="29" t="n">
        <v>10</v>
      </c>
      <c r="G5" s="24" t="n">
        <f aca="false">IF((F5-Inputs!$B$16)&lt;=0,"n/a",(Model!$C$8+Model!$C$9+Inputs!$B$15-Model!$B$8-Inputs!$B$9)/(F5-Inputs!$B$16))</f>
        <v>388888.888888889</v>
      </c>
      <c r="H5" s="24" t="n">
        <f aca="false">IF((F5-Inputs!$B$16)&lt;=0,"n/a",(Model!$D$8+Model!$D$9+Inputs!$B$15-Model!$B$8-Inputs!$B$9)/(F5-Inputs!$B$16))</f>
        <v>163888.888888889</v>
      </c>
    </row>
    <row r="6" customFormat="false" ht="15" hidden="false" customHeight="false" outlineLevel="0" collapsed="false">
      <c r="A6" s="28" t="n">
        <v>100000</v>
      </c>
      <c r="B6" s="14" t="n">
        <f aca="false">Inputs!$B$7*A6+Model!$B$8+Inputs!$B$9</f>
        <v>4000000</v>
      </c>
      <c r="C6" s="14" t="n">
        <f aca="false">Model!$C$8+Model!$C$9+Inputs!$B$15+Inputs!$B$16*A6</f>
        <v>5600000</v>
      </c>
      <c r="D6" s="14" t="n">
        <f aca="false">Model!$D$8+Model!$D$9+Inputs!$B$15+Inputs!$B$16*A6</f>
        <v>3575000</v>
      </c>
      <c r="F6" s="29" t="n">
        <v>15</v>
      </c>
      <c r="G6" s="24" t="n">
        <f aca="false">IF((F6-Inputs!$B$16)&lt;=0,"n/a",(Model!$C$8+Model!$C$9+Inputs!$B$15-Model!$B$8-Inputs!$B$9)/(F6-Inputs!$B$16))</f>
        <v>250000</v>
      </c>
      <c r="H6" s="24" t="n">
        <f aca="false">IF((F6-Inputs!$B$16)&lt;=0,"n/a",(Model!$D$8+Model!$D$9+Inputs!$B$15-Model!$B$8-Inputs!$B$9)/(F6-Inputs!$B$16))</f>
        <v>105357.142857143</v>
      </c>
    </row>
    <row r="7" customFormat="false" ht="15" hidden="false" customHeight="false" outlineLevel="0" collapsed="false">
      <c r="A7" s="28" t="n">
        <v>200000</v>
      </c>
      <c r="B7" s="14" t="n">
        <f aca="false">Inputs!$B$7*A7+Model!$B$8+Inputs!$B$9</f>
        <v>6000000</v>
      </c>
      <c r="C7" s="14" t="n">
        <f aca="false">Model!$C$8+Model!$C$9+Inputs!$B$15+Inputs!$B$16*A7</f>
        <v>5700000</v>
      </c>
      <c r="D7" s="14" t="n">
        <f aca="false">Model!$D$8+Model!$D$9+Inputs!$B$15+Inputs!$B$16*A7</f>
        <v>3675000</v>
      </c>
      <c r="F7" s="29" t="n">
        <v>20</v>
      </c>
      <c r="G7" s="24" t="n">
        <f aca="false">IF((F7-Inputs!$B$16)&lt;=0,"n/a",(Model!$C$8+Model!$C$9+Inputs!$B$15-Model!$B$8-Inputs!$B$9)/(F7-Inputs!$B$16))</f>
        <v>184210.526315789</v>
      </c>
      <c r="H7" s="24" t="n">
        <f aca="false">IF((F7-Inputs!$B$16)&lt;=0,"n/a",(Model!$D$8+Model!$D$9+Inputs!$B$15-Model!$B$8-Inputs!$B$9)/(F7-Inputs!$B$16))</f>
        <v>77631.5789473684</v>
      </c>
    </row>
    <row r="8" customFormat="false" ht="15" hidden="false" customHeight="false" outlineLevel="0" collapsed="false">
      <c r="A8" s="28" t="n">
        <v>400000</v>
      </c>
      <c r="B8" s="14" t="n">
        <f aca="false">Inputs!$B$7*A8+Model!$B$8+Inputs!$B$9</f>
        <v>10000000</v>
      </c>
      <c r="C8" s="14" t="n">
        <f aca="false">Model!$C$8+Model!$C$9+Inputs!$B$15+Inputs!$B$16*A8</f>
        <v>5900000</v>
      </c>
      <c r="D8" s="14" t="n">
        <f aca="false">Model!$D$8+Model!$D$9+Inputs!$B$15+Inputs!$B$16*A8</f>
        <v>3875000</v>
      </c>
      <c r="F8" s="29" t="n">
        <v>30</v>
      </c>
      <c r="G8" s="24" t="n">
        <f aca="false">IF((F8-Inputs!$B$16)&lt;=0,"n/a",(Model!$C$8+Model!$C$9+Inputs!$B$15-Model!$B$8-Inputs!$B$9)/(F8-Inputs!$B$16))</f>
        <v>120689.655172414</v>
      </c>
      <c r="H8" s="24" t="n">
        <f aca="false">IF((F8-Inputs!$B$16)&lt;=0,"n/a",(Model!$D$8+Model!$D$9+Inputs!$B$15-Model!$B$8-Inputs!$B$9)/(F8-Inputs!$B$16))</f>
        <v>50862.0689655172</v>
      </c>
    </row>
    <row r="9" customFormat="false" ht="15" hidden="false" customHeight="false" outlineLevel="0" collapsed="false">
      <c r="A9" s="28" t="n">
        <v>800000</v>
      </c>
      <c r="B9" s="14" t="n">
        <f aca="false">Inputs!$B$7*A9+Model!$B$8+Inputs!$B$9</f>
        <v>18000000</v>
      </c>
      <c r="C9" s="14" t="n">
        <f aca="false">Model!$C$8+Model!$C$9+Inputs!$B$15+Inputs!$B$16*A9</f>
        <v>6300000</v>
      </c>
      <c r="D9" s="14" t="n">
        <f aca="false">Model!$D$8+Model!$D$9+Inputs!$B$15+Inputs!$B$16*A9</f>
        <v>4275000</v>
      </c>
      <c r="F9" s="29" t="n">
        <v>45</v>
      </c>
      <c r="G9" s="24" t="n">
        <f aca="false">IF((F9-Inputs!$B$16)&lt;=0,"n/a",(Model!$C$8+Model!$C$9+Inputs!$B$15-Model!$B$8-Inputs!$B$9)/(F9-Inputs!$B$16))</f>
        <v>79545.4545454545</v>
      </c>
      <c r="H9" s="24" t="n">
        <f aca="false">IF((F9-Inputs!$B$16)&lt;=0,"n/a",(Model!$D$8+Model!$D$9+Inputs!$B$15-Model!$B$8-Inputs!$B$9)/(F9-Inputs!$B$16))</f>
        <v>33522.7272727273</v>
      </c>
    </row>
    <row r="10" customFormat="false" ht="15" hidden="false" customHeight="false" outlineLevel="0" collapsed="false">
      <c r="A10" s="28" t="n">
        <v>1600000</v>
      </c>
      <c r="B10" s="14" t="n">
        <f aca="false">Inputs!$B$7*A10+Model!$B$8+Inputs!$B$9</f>
        <v>34000000</v>
      </c>
      <c r="C10" s="14" t="n">
        <f aca="false">Model!$C$8+Model!$C$9+Inputs!$B$15+Inputs!$B$16*A10</f>
        <v>7100000</v>
      </c>
      <c r="D10" s="14" t="n">
        <f aca="false">Model!$D$8+Model!$D$9+Inputs!$B$15+Inputs!$B$16*A10</f>
        <v>5075000</v>
      </c>
      <c r="F10" s="29" t="n">
        <v>60</v>
      </c>
      <c r="G10" s="24" t="n">
        <f aca="false">IF((F10-Inputs!$B$16)&lt;=0,"n/a",(Model!$C$8+Model!$C$9+Inputs!$B$15-Model!$B$8-Inputs!$B$9)/(F10-Inputs!$B$16))</f>
        <v>59322.0338983051</v>
      </c>
      <c r="H10" s="24" t="n">
        <f aca="false">IF((F10-Inputs!$B$16)&lt;=0,"n/a",(Model!$D$8+Model!$D$9+Inputs!$B$15-Model!$B$8-Inputs!$B$9)/(F10-Inputs!$B$16))</f>
        <v>25000</v>
      </c>
    </row>
    <row r="11" customFormat="false" ht="15" hidden="false" customHeight="false" outlineLevel="0" collapsed="false">
      <c r="F11" s="29" t="n">
        <v>120</v>
      </c>
      <c r="G11" s="24" t="n">
        <f aca="false">IF((F11-Inputs!$B$16)&lt;=0,"n/a",(Model!$C$8+Model!$C$9+Inputs!$B$15-Model!$B$8-Inputs!$B$9)/(F11-Inputs!$B$16))</f>
        <v>29411.7647058824</v>
      </c>
      <c r="H11" s="24" t="n">
        <f aca="false">IF((F11-Inputs!$B$16)&lt;=0,"n/a",(Model!$D$8+Model!$D$9+Inputs!$B$15-Model!$B$8-Inputs!$B$9)/(F11-Inputs!$B$16))</f>
        <v>12394.9579831933</v>
      </c>
    </row>
    <row r="12" customFormat="false" ht="15" hidden="false" customHeight="false" outlineLevel="0" collapsed="false">
      <c r="A12" s="7" t="s">
        <v>127</v>
      </c>
      <c r="F12" s="29" t="n">
        <v>360</v>
      </c>
      <c r="G12" s="24" t="n">
        <f aca="false">IF((F12-Inputs!$B$16)&lt;=0,"n/a",(Model!$C$8+Model!$C$9+Inputs!$B$15-Model!$B$8-Inputs!$B$9)/(F12-Inputs!$B$16))</f>
        <v>9749.30362116992</v>
      </c>
      <c r="H12" s="24" t="n">
        <f aca="false">IF((F12-Inputs!$B$16)&lt;=0,"n/a",(Model!$D$8+Model!$D$9+Inputs!$B$15-Model!$B$8-Inputs!$B$9)/(F12-Inputs!$B$16))</f>
        <v>4108.63509749304</v>
      </c>
    </row>
    <row r="14" customFormat="false" ht="15" hidden="false" customHeight="false" outlineLevel="0" collapsed="false">
      <c r="F14" s="7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30" t="s">
        <v>129</v>
      </c>
    </row>
    <row r="2" customFormat="false" ht="15" hidden="false" customHeight="false" outlineLevel="0" collapsed="false">
      <c r="A2" s="31" t="s">
        <v>130</v>
      </c>
    </row>
    <row r="3" customFormat="false" ht="15" hidden="false" customHeight="false" outlineLevel="0" collapsed="false">
      <c r="A3" s="31"/>
    </row>
    <row r="4" customFormat="false" ht="15" hidden="false" customHeight="false" outlineLevel="0" collapsed="false">
      <c r="A4" s="32" t="inlineStr">
        <is>
          <t xml:space="preserve">The model:</t>
        </is>
      </c>
    </row>
    <row r="5" customFormat="false" ht="23.85" hidden="false" customHeight="false" outlineLevel="0" collapsed="false">
      <c r="A5" s="31" t="s">
        <v>132</v>
      </c>
    </row>
    <row r="6" customFormat="false" ht="15" hidden="false" customHeight="false" outlineLevel="0" collapsed="false">
      <c r="A6" s="31"/>
    </row>
    <row r="7" customFormat="false" ht="15" hidden="false" customHeight="false" outlineLevel="0" collapsed="false">
      <c r="A7" s="30" t="s">
        <v>133</v>
      </c>
    </row>
    <row r="8" customFormat="false" ht="46.25" hidden="false" customHeight="false" outlineLevel="0" collapsed="false">
      <c r="A8" s="33" t="inlineStr">
        <is>
          <t xml:space="preserve">AI-assisted development cuts construction headcount (the productivity-gain input). It does NOT cut the hidden costs: time to value, maintenance (60–80% of lifetime cost), the vendor roadmap treadmill, or key-person risk. So the break-even seat count drops, but the qualitative gates get harder, not easier; a codebase eight people generated in six months is a codebase nobody understands by year three.</t>
        </is>
      </c>
    </row>
    <row r="9" customFormat="false" ht="23.85" hidden="false" customHeight="false" outlineLevel="0" collapsed="false">
      <c r="A9" s="31" t="s">
        <v>135</v>
      </c>
    </row>
    <row r="10" customFormat="false" ht="15" hidden="false" customHeight="false" outlineLevel="0" collapsed="false">
      <c r="A10" s="31"/>
    </row>
    <row r="11" customFormat="false" ht="15" hidden="false" customHeight="false" outlineLevel="0" collapsed="false">
      <c r="A11" s="30" t="s">
        <v>136</v>
      </c>
    </row>
    <row r="12" customFormat="false" ht="23.85" hidden="false" customHeight="false" outlineLevel="0" collapsed="false">
      <c r="A12" s="31" t="s">
        <v>137</v>
      </c>
    </row>
    <row r="13" customFormat="false" ht="23.85" hidden="false" customHeight="false" outlineLevel="0" collapsed="false">
      <c r="A13" s="31" t="s">
        <v>138</v>
      </c>
    </row>
    <row r="14" customFormat="false" ht="23.85" hidden="false" customHeight="false" outlineLevel="0" collapsed="false">
      <c r="A14" s="31" t="s">
        <v>139</v>
      </c>
    </row>
    <row r="15" customFormat="false" ht="15" hidden="false" customHeight="false" outlineLevel="0" collapsed="false">
      <c r="A15" s="31"/>
    </row>
    <row r="16" customFormat="false" ht="15" hidden="false" customHeight="false" outlineLevel="0" collapsed="false">
      <c r="A16" s="30" t="s">
        <v>140</v>
      </c>
    </row>
    <row r="17" customFormat="false" ht="15" hidden="false" customHeight="false" outlineLevel="0" collapsed="false">
      <c r="A17" s="31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2026-09-22T00:26:31Z</dcterms:created>
  <dc:creator>openpyxl</dc:creator>
  <dc:description/>
  <dc:language>en-US</dc:language>
  <cp:lastModifiedBy/>
  <dcterms:modified xsi:type="dcterms:W3CDTF">2026-09-22T00:26:33Z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